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tur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"/>
    <numFmt numFmtId="165" formatCode="#,##0.0"/>
    <numFmt numFmtId="166" formatCode="0.0%"/>
  </numFmts>
  <fonts count="4">
    <font>
      <name val="Calibri"/>
      <family val="2"/>
      <color theme="1"/>
      <sz val="11"/>
      <scheme val="minor"/>
    </font>
    <font>
      <name val="Calibri"/>
      <b val="1"/>
      <color rgb="00A8432E"/>
      <sz val="16"/>
    </font>
    <font>
      <name val="Calibri"/>
      <color rgb="0033302B"/>
      <sz val="11"/>
    </font>
    <font>
      <name val="Calibri"/>
      <b val="1"/>
      <color rgb="0033302B"/>
      <sz val="11"/>
    </font>
  </fonts>
  <fills count="3">
    <fill>
      <patternFill/>
    </fill>
    <fill>
      <patternFill patternType="gray125"/>
    </fill>
    <fill>
      <patternFill patternType="solid">
        <fgColor rgb="00FFF2CC"/>
      </patternFill>
    </fill>
  </fills>
  <borders count="6">
    <border>
      <left/>
      <right/>
      <top/>
      <bottom/>
      <diagonal/>
    </border>
    <border>
      <left style="thin">
        <color rgb="00E2DCCB"/>
      </left>
      <right style="thin">
        <color rgb="00E2DCCB"/>
      </right>
      <top style="thin">
        <color rgb="00E2DCCB"/>
      </top>
      <bottom style="thin">
        <color rgb="00E2DCCB"/>
      </bottom>
    </border>
    <border>
      <left/>
      <right/>
      <top style="thin">
        <color rgb="00E2DCCB"/>
      </top>
      <bottom/>
      <diagonal/>
    </border>
    <border>
      <left/>
      <right style="thin">
        <color rgb="00E2DCCB"/>
      </right>
      <top style="thin">
        <color rgb="00E2DCCB"/>
      </top>
      <bottom/>
      <diagonal/>
    </border>
    <border>
      <left/>
      <right/>
      <top style="thin">
        <color rgb="00E2DCCB"/>
      </top>
      <bottom style="thin">
        <color rgb="00E2DCCB"/>
      </bottom>
      <diagonal/>
    </border>
    <border>
      <left/>
      <right style="thin">
        <color rgb="00E2DCCB"/>
      </right>
      <top style="thin">
        <color rgb="00E2DCCB"/>
      </top>
      <bottom style="thin">
        <color rgb="00E2DCCB"/>
      </bottom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vertical="center"/>
    </xf>
    <xf numFmtId="0" fontId="0" fillId="0" borderId="4" pivotButton="0" quotePrefix="0" xfId="0"/>
    <xf numFmtId="0" fontId="0" fillId="0" borderId="5" pivotButton="0" quotePrefix="0" xfId="0"/>
    <xf numFmtId="0" fontId="2" fillId="0" borderId="1" applyAlignment="1" pivotButton="0" quotePrefix="0" xfId="0">
      <alignment vertical="center"/>
    </xf>
    <xf numFmtId="0" fontId="3" fillId="0" borderId="1" applyAlignment="1" pivotButton="0" quotePrefix="0" xfId="0">
      <alignment vertical="center"/>
    </xf>
    <xf numFmtId="164" fontId="2" fillId="2" borderId="1" applyAlignment="1" pivotButton="0" quotePrefix="0" xfId="0">
      <alignment vertical="center"/>
    </xf>
    <xf numFmtId="3" fontId="2" fillId="2" borderId="1" applyAlignment="1" pivotButton="0" quotePrefix="0" xfId="0">
      <alignment vertical="center"/>
    </xf>
    <xf numFmtId="165" fontId="2" fillId="2" borderId="1" applyAlignment="1" pivotButton="0" quotePrefix="0" xfId="0">
      <alignment vertical="center"/>
    </xf>
    <xf numFmtId="2" fontId="2" fillId="2" borderId="1" applyAlignment="1" pivotButton="0" quotePrefix="0" xfId="0">
      <alignment vertical="center"/>
    </xf>
    <xf numFmtId="1" fontId="2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3" fontId="2" fillId="0" borderId="1" applyAlignment="1" pivotButton="0" quotePrefix="0" xfId="0">
      <alignment vertical="center"/>
    </xf>
    <xf numFmtId="166" fontId="2" fillId="2" borderId="1" applyAlignment="1" pivotButton="0" quotePrefix="0" xfId="0">
      <alignment vertical="center"/>
    </xf>
    <xf numFmtId="166" fontId="2" fillId="0" borderId="1" applyAlignment="1" pivotButton="0" quotePrefix="0" xfId="0">
      <alignment vertical="center"/>
    </xf>
    <xf numFmtId="2" fontId="2" fillId="0" borderId="1" applyAlignment="1" pivotButton="0" quotePrefix="0" xfId="0">
      <alignment vertical="center"/>
    </xf>
    <xf numFmtId="164" fontId="2" fillId="0" borderId="1" applyAlignment="1" pivotButton="0" quotePrefix="0" xfId="0">
      <alignment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5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8" customWidth="1" min="8" max="8"/>
    <col width="18" customWidth="1" min="9" max="9"/>
  </cols>
  <sheetData>
    <row r="1" ht="22" customHeight="1">
      <c r="A1" s="1" t="inlineStr">
        <is>
          <t>TX-MUD five-year returns  |  Montgomery &amp; Walker Counties</t>
        </is>
      </c>
      <c r="B1" s="2" t="n"/>
      <c r="C1" s="2" t="n"/>
      <c r="D1" s="2" t="n"/>
      <c r="E1" s="2" t="n"/>
      <c r="F1" s="2" t="n"/>
      <c r="G1" s="2" t="n"/>
      <c r="H1" s="2" t="n"/>
      <c r="I1" s="3" t="n"/>
    </row>
    <row r="2">
      <c r="A2" s="4" t="inlineStr">
        <is>
          <t>Yellow = premise or assumption. Change those. Bond math and cash flows recalculate. Fetched TCEQ factors are white.</t>
        </is>
      </c>
      <c r="B2" s="2" t="n"/>
      <c r="C2" s="2" t="n"/>
      <c r="D2" s="2" t="n"/>
      <c r="E2" s="2" t="n"/>
      <c r="F2" s="2" t="n"/>
      <c r="G2" s="2" t="n"/>
      <c r="H2" s="2" t="n"/>
      <c r="I2" s="3" t="n"/>
    </row>
    <row r="4">
      <c r="A4" s="5" t="inlineStr">
        <is>
          <t>PREMISES</t>
        </is>
      </c>
      <c r="D4" s="5" t="inlineStr">
        <is>
          <t>Lot sales path (ASSUMPTION)</t>
        </is>
      </c>
    </row>
    <row r="5">
      <c r="A5" s="5" t="inlineStr">
        <is>
          <t>Capital, land + plat ($)</t>
        </is>
      </c>
      <c r="B5" s="6" t="n">
        <v>10000000</v>
      </c>
      <c r="D5" s="4" t="inlineStr">
        <is>
          <t>Year 1 lots</t>
        </is>
      </c>
      <c r="E5" s="7" t="n">
        <v>20</v>
      </c>
    </row>
    <row r="6">
      <c r="A6" s="5" t="inlineStr">
        <is>
          <t>Acres</t>
        </is>
      </c>
      <c r="B6" s="8" t="n">
        <v>250</v>
      </c>
      <c r="D6" s="4" t="inlineStr">
        <is>
          <t>Year 2 lots</t>
        </is>
      </c>
      <c r="E6" s="7" t="n">
        <v>40</v>
      </c>
    </row>
    <row r="7">
      <c r="A7" s="5" t="inlineStr">
        <is>
          <t>Lot size (acres)</t>
        </is>
      </c>
      <c r="B7" s="9" t="n">
        <v>1</v>
      </c>
      <c r="D7" s="4" t="inlineStr">
        <is>
          <t>Year 3 lots</t>
        </is>
      </c>
      <c r="E7" s="7" t="n">
        <v>50</v>
      </c>
    </row>
    <row r="8">
      <c r="A8" s="5" t="inlineStr">
        <is>
          <t>Hold (years)</t>
        </is>
      </c>
      <c r="B8" s="10" t="n">
        <v>5</v>
      </c>
      <c r="D8" s="4" t="inlineStr">
        <is>
          <t>Year 4 lots</t>
        </is>
      </c>
      <c r="E8" s="7" t="n">
        <v>50</v>
      </c>
    </row>
    <row r="9">
      <c r="A9" s="5" t="inlineStr">
        <is>
          <t>Geography</t>
        </is>
      </c>
      <c r="B9" s="11" t="inlineStr">
        <is>
          <t>Montgomery County and Walker County (not Harris)</t>
        </is>
      </c>
      <c r="D9" s="4" t="inlineStr">
        <is>
          <t>Year 5 lots</t>
        </is>
      </c>
      <c r="E9" s="7" t="n">
        <v>40</v>
      </c>
    </row>
    <row r="10">
      <c r="D10" s="4" t="inlineStr">
        <is>
          <t>Sum (must = net lots)</t>
        </is>
      </c>
      <c r="E10" s="12">
        <f>SUM(E5:E9)</f>
        <v/>
      </c>
    </row>
    <row r="11">
      <c r="A11" s="5" t="inlineStr">
        <is>
          <t>ASSUMPTIONS</t>
        </is>
      </c>
    </row>
    <row r="12">
      <c r="A12" s="5" t="inlineStr">
        <is>
          <t>Net-to-gross</t>
        </is>
      </c>
      <c r="B12" s="13" t="n">
        <v>0.8</v>
      </c>
    </row>
    <row r="13">
      <c r="A13" s="5" t="inlineStr">
        <is>
          <t>Horizontal $/net lot</t>
        </is>
      </c>
      <c r="B13" s="6" t="n">
        <v>40000</v>
      </c>
    </row>
    <row r="14">
      <c r="A14" s="5" t="inlineStr">
        <is>
          <t>Share on 70% rule</t>
        </is>
      </c>
      <c r="B14" s="13" t="n">
        <v>0.6</v>
      </c>
    </row>
    <row r="15">
      <c r="A15" s="5" t="inlineStr">
        <is>
          <t>Share 100% district (plants)</t>
        </is>
      </c>
      <c r="B15" s="13" t="n">
        <v>0.4</v>
      </c>
    </row>
    <row r="16">
      <c r="A16" s="5" t="inlineStr">
        <is>
          <t>Base lot price</t>
        </is>
      </c>
      <c r="B16" s="6" t="n">
        <v>180000</v>
      </c>
    </row>
    <row r="17">
      <c r="A17" s="5" t="inlineStr">
        <is>
          <t>Home AV at build-out</t>
        </is>
      </c>
      <c r="B17" s="6" t="n">
        <v>450000</v>
      </c>
    </row>
    <row r="18">
      <c r="A18" s="5" t="inlineStr">
        <is>
          <t>M&amp;O tax /$100</t>
        </is>
      </c>
      <c r="B18" s="9" t="n">
        <v>0.15</v>
      </c>
    </row>
    <row r="19">
      <c r="A19" s="5" t="inlineStr">
        <is>
          <t>Min I&amp;S /$100</t>
        </is>
      </c>
      <c r="B19" s="9" t="n">
        <v>0.1</v>
      </c>
    </row>
    <row r="20">
      <c r="A20" s="5" t="inlineStr">
        <is>
          <t>Coupon</t>
        </is>
      </c>
      <c r="B20" s="13" t="n">
        <v>0.05</v>
      </c>
    </row>
    <row r="21">
      <c r="A21" s="5" t="inlineStr">
        <is>
          <t>Term (years)</t>
        </is>
      </c>
      <c r="B21" s="10" t="n">
        <v>25</v>
      </c>
    </row>
    <row r="22">
      <c r="A22" s="5" t="inlineStr">
        <is>
          <t>Issue cost of par</t>
        </is>
      </c>
      <c r="B22" s="13" t="n">
        <v>0.02</v>
      </c>
    </row>
    <row r="23">
      <c r="A23" s="5" t="inlineStr">
        <is>
          <t>Forward CAB rate</t>
        </is>
      </c>
      <c r="B23" s="13" t="n">
        <v>0.075</v>
      </c>
    </row>
    <row r="24">
      <c r="A24" s="5" t="inlineStr">
        <is>
          <t>Forward years of haircut</t>
        </is>
      </c>
      <c r="B24" s="10" t="n">
        <v>3</v>
      </c>
    </row>
    <row r="26">
      <c r="A26" s="5" t="inlineStr">
        <is>
          <t>FETCHED (do not treat as inputs)</t>
        </is>
      </c>
    </row>
    <row r="27">
      <c r="A27" s="4" t="inlineStr">
        <is>
          <t>Collection (30 TAC 293.59)</t>
        </is>
      </c>
      <c r="B27" s="14" t="n">
        <v>0.9</v>
      </c>
    </row>
    <row r="28">
      <c r="A28" s="4" t="inlineStr">
        <is>
          <t>DS reserve fraction</t>
        </is>
      </c>
      <c r="B28" s="14" t="n">
        <v>0.25</v>
      </c>
    </row>
    <row r="29">
      <c r="A29" s="4" t="inlineStr">
        <is>
          <t>District share of 70% items</t>
        </is>
      </c>
      <c r="B29" s="14" t="n">
        <v>0.7</v>
      </c>
    </row>
    <row r="30">
      <c r="A30" s="4" t="inlineStr">
        <is>
          <t>Tax cap /$100 (Montgomery named; Walker via §49.181(f-1))</t>
        </is>
      </c>
      <c r="B30" s="15" t="n">
        <v>1.5</v>
      </c>
    </row>
    <row r="31">
      <c r="A31" s="4" t="inlineStr">
        <is>
          <t>Rural Gulf Coast median $/ac (TRERC 1Q2026)</t>
        </is>
      </c>
      <c r="B31" s="16" t="n">
        <v>11698</v>
      </c>
    </row>
    <row r="33">
      <c r="A33" s="5" t="inlineStr">
        <is>
          <t>DERIVED</t>
        </is>
      </c>
    </row>
    <row r="34">
      <c r="A34" s="4" t="inlineStr">
        <is>
          <t>Basis $/acre</t>
        </is>
      </c>
      <c r="B34" s="16">
        <f>B5/B6</f>
        <v/>
      </c>
    </row>
    <row r="35">
      <c r="A35" s="4" t="inlineStr">
        <is>
          <t>Net lots</t>
        </is>
      </c>
      <c r="B35" s="12">
        <f>ROUND(B6*B12/B7,0)</f>
        <v/>
      </c>
    </row>
    <row r="36">
      <c r="A36" s="4" t="inlineStr">
        <is>
          <t>Horizontal $</t>
        </is>
      </c>
      <c r="B36" s="16">
        <f>B35*B13</f>
        <v/>
      </c>
    </row>
    <row r="37">
      <c r="A37" s="4" t="inlineStr">
        <is>
          <t>Eligible reimbursement $</t>
        </is>
      </c>
      <c r="B37" s="16">
        <f>B29*B14*B36+B15*B36</f>
        <v/>
      </c>
    </row>
    <row r="38">
      <c r="A38" s="4" t="inlineStr">
        <is>
          <t>Full-build AV $</t>
        </is>
      </c>
      <c r="B38" s="16">
        <f>B35*B17</f>
        <v/>
      </c>
    </row>
    <row r="39">
      <c r="A39" s="4" t="inlineStr">
        <is>
          <t>Basis / rural median</t>
        </is>
      </c>
      <c r="B39" s="15">
        <f>B34/B31</f>
        <v/>
      </c>
    </row>
    <row r="41">
      <c r="A41" s="5" t="inlineStr">
        <is>
          <t>TAX CASES  |  reimbursement = MIN(eligible, net proceeds)</t>
        </is>
      </c>
    </row>
    <row r="42">
      <c r="A42" s="5" t="inlineStr">
        <is>
          <t>MUD tax /$100</t>
        </is>
      </c>
      <c r="B42" s="5" t="inlineStr">
        <is>
          <t>I&amp;S /$100</t>
        </is>
      </c>
      <c r="C42" s="5" t="inlineStr">
        <is>
          <t>Annual DS levy</t>
        </is>
      </c>
      <c r="D42" s="5" t="inlineStr">
        <is>
          <t>Par</t>
        </is>
      </c>
      <c r="E42" s="5" t="inlineStr">
        <is>
          <t>Net proceeds</t>
        </is>
      </c>
      <c r="F42" s="5" t="inlineStr">
        <is>
          <t>Reimbursement</t>
        </is>
      </c>
      <c r="G42" s="5" t="inlineStr">
        <is>
          <t>Binds</t>
        </is>
      </c>
      <c r="H42" s="5" t="inlineStr">
        <is>
          <t>Y5 profit</t>
        </is>
      </c>
      <c r="I42" s="5" t="inlineStr">
        <is>
          <t>Y5 MOIC</t>
        </is>
      </c>
    </row>
    <row r="43">
      <c r="A43" s="9" t="n">
        <v>0.5</v>
      </c>
      <c r="B43" s="15">
        <f>MAX(A43-B18,B19)</f>
        <v/>
      </c>
      <c r="C43" s="16">
        <f>(B43/100)*B38*B27</f>
        <v/>
      </c>
      <c r="D43" s="16">
        <f>C43*(1-(1+B20)^-B21)/B20</f>
        <v/>
      </c>
      <c r="E43" s="16">
        <f>D43-B28*C43-B22*D43</f>
        <v/>
      </c>
      <c r="F43" s="16">
        <f>MIN(B37,E43)</f>
        <v/>
      </c>
      <c r="G43" s="4">
        <f>IF(E43&lt;B37,"tax-rate","eligible-cost")</f>
        <v/>
      </c>
      <c r="H43" s="16">
        <f>B35*B16-B5-B36+F43</f>
        <v/>
      </c>
      <c r="I43" s="15">
        <f>(H43+B5)/B5</f>
        <v/>
      </c>
    </row>
    <row r="44">
      <c r="A44" s="9" t="n">
        <v>1</v>
      </c>
      <c r="B44" s="15">
        <f>MAX(A44-B18,B19)</f>
        <v/>
      </c>
      <c r="C44" s="16">
        <f>(B44/100)*B38*B27</f>
        <v/>
      </c>
      <c r="D44" s="16">
        <f>C44*(1-(1+B20)^-B21)/B20</f>
        <v/>
      </c>
      <c r="E44" s="16">
        <f>D44-B28*C44-B22*D44</f>
        <v/>
      </c>
      <c r="F44" s="16">
        <f>MIN(B37,E44)</f>
        <v/>
      </c>
      <c r="G44" s="4">
        <f>IF(E44&lt;B37,"tax-rate","eligible-cost")</f>
        <v/>
      </c>
      <c r="H44" s="16">
        <f>B35*B16-B5-B36+F44</f>
        <v/>
      </c>
      <c r="I44" s="15">
        <f>(H44+B5)/B5</f>
        <v/>
      </c>
    </row>
    <row r="45">
      <c r="A45" s="9" t="n">
        <v>1.5</v>
      </c>
      <c r="B45" s="15">
        <f>MAX(A45-B18,B19)</f>
        <v/>
      </c>
      <c r="C45" s="16">
        <f>(B45/100)*B38*B27</f>
        <v/>
      </c>
      <c r="D45" s="16">
        <f>C45*(1-(1+B20)^-B21)/B20</f>
        <v/>
      </c>
      <c r="E45" s="16">
        <f>D45-B28*C45-B22*D45</f>
        <v/>
      </c>
      <c r="F45" s="16">
        <f>MIN(B37,E45)</f>
        <v/>
      </c>
      <c r="G45" s="4">
        <f>IF(E45&lt;B37,"tax-rate","eligible-cost")</f>
        <v/>
      </c>
      <c r="H45" s="16">
        <f>B35*B16-B5-B36+F45</f>
        <v/>
      </c>
      <c r="I45" s="15">
        <f>(H45+B5)/B5</f>
        <v/>
      </c>
    </row>
    <row r="47">
      <c r="A47" s="5" t="inlineStr">
        <is>
          <t>LOT-PRICE SENSITIVITY at cost-bound reimbursement ($1.00+)</t>
        </is>
      </c>
    </row>
    <row r="48">
      <c r="A48" s="5" t="inlineStr">
        <is>
          <t>Lot price</t>
        </is>
      </c>
      <c r="B48" s="5" t="inlineStr">
        <is>
          <t>Gross lots</t>
        </is>
      </c>
      <c r="C48" s="5" t="inlineStr">
        <is>
          <t>Profit after $ capital + horizontal − eligible reimb</t>
        </is>
      </c>
    </row>
    <row r="49">
      <c r="A49" s="6" t="n">
        <v>120000</v>
      </c>
      <c r="B49" s="16">
        <f>A49*$B$35</f>
        <v/>
      </c>
      <c r="C49" s="16">
        <f>B49-$B$5-$B$36+$B$37</f>
        <v/>
      </c>
    </row>
    <row r="50">
      <c r="A50" s="6" t="n">
        <v>180000</v>
      </c>
      <c r="B50" s="16">
        <f>A50*$B$35</f>
        <v/>
      </c>
      <c r="C50" s="16">
        <f>B50-$B$5-$B$36+$B$37</f>
        <v/>
      </c>
    </row>
    <row r="51">
      <c r="A51" s="6" t="n">
        <v>250000</v>
      </c>
      <c r="B51" s="16">
        <f>A51*$B$35</f>
        <v/>
      </c>
      <c r="C51" s="16">
        <f>B51-$B$5-$B$36+$B$37</f>
        <v/>
      </c>
    </row>
    <row r="53">
      <c r="A53" s="5" t="inlineStr">
        <is>
          <t>Notes</t>
        </is>
      </c>
    </row>
    <row r="54" ht="28" customHeight="1">
      <c r="A54" s="17" t="inlineStr">
        <is>
          <t>The MUD tax is not sponsor yield. Owners pay it. Land cost is not on the 30 TAC 293.47 construction list.</t>
        </is>
      </c>
      <c r="B54" s="2" t="n"/>
      <c r="C54" s="2" t="n"/>
      <c r="D54" s="2" t="n"/>
      <c r="E54" s="2" t="n"/>
      <c r="F54" s="2" t="n"/>
      <c r="G54" s="2" t="n"/>
      <c r="H54" s="2" t="n"/>
      <c r="I54" s="3" t="n"/>
    </row>
    <row r="55" ht="28" customHeight="1">
      <c r="A55" s="17" t="inlineStr">
        <is>
          <t>Montgomery County is named in 30 TAC 293.59(k)(3)(A) at $1.50. Walker County is treated as Harris for feasibility under Tex. Water Code §49.181(f-1).</t>
        </is>
      </c>
      <c r="B55" s="2" t="n"/>
      <c r="C55" s="2" t="n"/>
      <c r="D55" s="2" t="n"/>
      <c r="E55" s="2" t="n"/>
      <c r="F55" s="2" t="n"/>
      <c r="G55" s="2" t="n"/>
      <c r="H55" s="2" t="n"/>
      <c r="I55" s="3" t="n"/>
    </row>
  </sheetData>
  <mergeCells count="4">
    <mergeCell ref="A1:I1"/>
    <mergeCell ref="A55:I55"/>
    <mergeCell ref="A2:I2"/>
    <mergeCell ref="A54:I54"/>
  </mergeCells>
  <printOptions horizontalCentered="1"/>
  <pageMargins left="0.4" right="0.4" top="0.5" bottom="0.5" header="0.5" footer="0.5"/>
  <pageSetup orientation="landscape" paperSize="3" fitToHeight="1" fitToWidth="1"/>
  <headerFooter>
    <oddHeader>&amp;LTexas MUD · Montgomery &amp; Walker</oddHeader>
    <oddFooter>&amp;RYellow cells are inputs · 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2026-08-20T20:14:20Z</dcterms:created>
  <dcterms:modified xsi:type="dcterms:W3CDTF">2026-08-20T20:14:20Z</dcterms:modified>
</cp:coreProperties>
</file>